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3"/>
  <workbookPr/>
  <mc:AlternateContent xmlns:mc="http://schemas.openxmlformats.org/markup-compatibility/2006">
    <mc:Choice Requires="x15">
      <x15ac:absPath xmlns:x15ac="http://schemas.microsoft.com/office/spreadsheetml/2010/11/ac" url="https://trilogycare-my.sharepoint.com/personal/glenk_trilogycare_com_au/Documents/GK/SAH/"/>
    </mc:Choice>
  </mc:AlternateContent>
  <xr:revisionPtr revIDLastSave="214" documentId="8_{95114D77-826E-488A-BDE4-3881A6EC895F}" xr6:coauthVersionLast="47" xr6:coauthVersionMax="47" xr10:uidLastSave="{26646C0F-746D-4CCB-8719-8B589DDD19EC}"/>
  <bookViews>
    <workbookView xWindow="-120" yWindow="-120" windowWidth="29040" windowHeight="15720" activeTab="1" xr2:uid="{D495D52A-9746-8444-862B-48E5127F48B1}"/>
  </bookViews>
  <sheets>
    <sheet name="Client Calculator Simplified" sheetId="8" r:id="rId1"/>
    <sheet name="Client Calculator" sheetId="5" r:id="rId2"/>
    <sheet name="11% Coord fees final" sheetId="4" r:id="rId3"/>
    <sheet name="12% Coord fees final" sheetId="6" r:id="rId4"/>
    <sheet name="13% Coord fees final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H8" i="8"/>
  <c r="H12" i="8" s="1"/>
  <c r="C8" i="8"/>
  <c r="H8" i="5"/>
  <c r="H12" i="5" s="1"/>
  <c r="C8" i="5"/>
  <c r="C6" i="7"/>
  <c r="H13" i="7"/>
  <c r="C9" i="7"/>
  <c r="C10" i="7" s="1"/>
  <c r="C11" i="7" s="1"/>
  <c r="C12" i="7" s="1"/>
  <c r="C13" i="7" s="1"/>
  <c r="N6" i="7"/>
  <c r="M6" i="7"/>
  <c r="L6" i="7"/>
  <c r="K6" i="7"/>
  <c r="J6" i="7"/>
  <c r="I6" i="7"/>
  <c r="H6" i="7"/>
  <c r="G6" i="7"/>
  <c r="N5" i="7"/>
  <c r="M5" i="7"/>
  <c r="L5" i="7"/>
  <c r="K5" i="7"/>
  <c r="J5" i="7"/>
  <c r="I5" i="7"/>
  <c r="H5" i="7"/>
  <c r="G5" i="7"/>
  <c r="N4" i="7"/>
  <c r="M4" i="7"/>
  <c r="L4" i="7"/>
  <c r="K4" i="7"/>
  <c r="J4" i="7"/>
  <c r="I4" i="7"/>
  <c r="H4" i="7"/>
  <c r="G4" i="7"/>
  <c r="C9" i="8" l="1"/>
  <c r="H9" i="8"/>
  <c r="H13" i="8" s="1"/>
  <c r="H14" i="8" s="1"/>
  <c r="C9" i="5"/>
  <c r="H9" i="5"/>
  <c r="H13" i="5" s="1"/>
  <c r="H14" i="5" s="1"/>
  <c r="C14" i="7"/>
  <c r="H9" i="7"/>
  <c r="C10" i="8" l="1"/>
  <c r="C10" i="5"/>
  <c r="H14" i="7"/>
  <c r="H10" i="7"/>
  <c r="H11" i="7" s="1"/>
  <c r="H12" i="7" s="1"/>
  <c r="C6" i="6"/>
  <c r="H13" i="6"/>
  <c r="C9" i="6"/>
  <c r="C10" i="6" s="1"/>
  <c r="C11" i="6" s="1"/>
  <c r="C12" i="6" s="1"/>
  <c r="C13" i="6" s="1"/>
  <c r="N6" i="6"/>
  <c r="M6" i="6"/>
  <c r="L6" i="6"/>
  <c r="K6" i="6"/>
  <c r="J6" i="6"/>
  <c r="I6" i="6"/>
  <c r="H6" i="6"/>
  <c r="G6" i="6"/>
  <c r="N5" i="6"/>
  <c r="M5" i="6"/>
  <c r="L5" i="6"/>
  <c r="K5" i="6"/>
  <c r="J5" i="6"/>
  <c r="I5" i="6"/>
  <c r="H5" i="6"/>
  <c r="G5" i="6"/>
  <c r="N4" i="6"/>
  <c r="M4" i="6"/>
  <c r="L4" i="6"/>
  <c r="K4" i="6"/>
  <c r="J4" i="6"/>
  <c r="I4" i="6"/>
  <c r="H4" i="6"/>
  <c r="G4" i="6"/>
  <c r="M6" i="4"/>
  <c r="N4" i="4"/>
  <c r="C9" i="4"/>
  <c r="C10" i="4" s="1"/>
  <c r="C11" i="4" s="1"/>
  <c r="C12" i="4" s="1"/>
  <c r="C13" i="4" s="1"/>
  <c r="C14" i="4" s="1"/>
  <c r="G5" i="4"/>
  <c r="H13" i="4"/>
  <c r="N6" i="4"/>
  <c r="L6" i="4"/>
  <c r="K6" i="4"/>
  <c r="J6" i="4"/>
  <c r="I6" i="4"/>
  <c r="H6" i="4"/>
  <c r="G6" i="4"/>
  <c r="C6" i="4"/>
  <c r="N5" i="4"/>
  <c r="M5" i="4"/>
  <c r="L5" i="4"/>
  <c r="K5" i="4"/>
  <c r="J5" i="4"/>
  <c r="I5" i="4"/>
  <c r="H5" i="4"/>
  <c r="M4" i="4"/>
  <c r="L4" i="4"/>
  <c r="K4" i="4"/>
  <c r="J4" i="4"/>
  <c r="I4" i="4"/>
  <c r="H4" i="4"/>
  <c r="G4" i="4"/>
  <c r="C11" i="8" l="1"/>
  <c r="C12" i="8" s="1"/>
  <c r="C11" i="5"/>
  <c r="C14" i="6"/>
  <c r="H9" i="6"/>
  <c r="H9" i="4"/>
  <c r="C13" i="5" l="1"/>
  <c r="C14" i="5" s="1"/>
  <c r="H14" i="6"/>
  <c r="H10" i="6"/>
  <c r="H11" i="6" s="1"/>
  <c r="H12" i="6" s="1"/>
  <c r="H14" i="4"/>
  <c r="H10" i="4"/>
  <c r="H11" i="4" s="1"/>
  <c r="H12" i="4" s="1"/>
  <c r="C13" i="8"/>
  <c r="C14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<sst xmlns="http://schemas.openxmlformats.org/spreadsheetml/2006/main" count="108" uniqueCount="36">
  <si>
    <t>SaH Funding Calculator</t>
  </si>
  <si>
    <t>Total funding</t>
  </si>
  <si>
    <t>Package Type</t>
  </si>
  <si>
    <t>Self Managed Plus</t>
  </si>
  <si>
    <t>Utilisation Rate</t>
  </si>
  <si>
    <t>New Model SAH</t>
  </si>
  <si>
    <t>Old Model HCP</t>
  </si>
  <si>
    <t>Total Funding</t>
  </si>
  <si>
    <t>Care Management 10%</t>
  </si>
  <si>
    <t>Care Management 15%</t>
  </si>
  <si>
    <t>Utilised Funding</t>
  </si>
  <si>
    <t>Utilised funding</t>
  </si>
  <si>
    <t>Platform Fee</t>
  </si>
  <si>
    <t>Coordination Fee 20%</t>
  </si>
  <si>
    <t>Coordination Fee 11%</t>
  </si>
  <si>
    <t>Funding for Services</t>
  </si>
  <si>
    <t>% of Funds for Services</t>
  </si>
  <si>
    <t>This calculator provides an indicative comparison between the Support at Home program and the outgoing Home Care Package model. It assumes average funding utilisation and a 20% coordination fee under Self Managed Plus. The Self Managed Plus package includes coordinated services such as sourcing and screening workers, negotiating rates, managing bookings — services not included in the Self Managed package. Results are estimates only and do not consider your personal circumstances. For tailored advice, speak with your coordinator or care partner.</t>
  </si>
  <si>
    <t>Coordination Fee</t>
  </si>
  <si>
    <t>Platform Fee 10%</t>
  </si>
  <si>
    <t>Coordination Fee above</t>
  </si>
  <si>
    <t>% Available for Your Services</t>
  </si>
  <si>
    <t>SaH Model</t>
  </si>
  <si>
    <t>Revenue</t>
  </si>
  <si>
    <t>Fee %</t>
  </si>
  <si>
    <t>11% HCP model revenue</t>
  </si>
  <si>
    <t>Provider Down Calc</t>
  </si>
  <si>
    <t>Client Up Calc</t>
  </si>
  <si>
    <t>Delivered Services</t>
  </si>
  <si>
    <t>10% Care Management</t>
  </si>
  <si>
    <t>Coordination fee</t>
  </si>
  <si>
    <t>10% Platform loading</t>
  </si>
  <si>
    <t>Add unutilised funding</t>
  </si>
  <si>
    <t xml:space="preserve">Coordinator Revenue </t>
  </si>
  <si>
    <t>12% HCP model revenue</t>
  </si>
  <si>
    <t>13% HCP model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</si>
</sst>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  <numFmt numFmtId="166" formatCode="&quot;$&quot;#,##0"/>
    <numFmt numFmtId="167" formatCode="_([$$-409]* #,##0_);_([$$-409]* \(#,##0\);_([$$-409]* &quot;-&quot;?_);_(@_)"/>
    <numFmt numFmtId="168" formatCode="_([$$-409]* #,##0.0_);_([$$-409]* \(#,##0.0\);_([$$-409]* &quot;-&quot;?_);_(@_)"/>
  </numFmts>
  <fonts count="13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theme="1" tint="0.34998626667073579"/>
      <name val="Aptos Narrow"/>
      <family val="2"/>
      <scheme val="minor"/>
    </font>
    <font>
      <sz val="12"/>
      <color theme="0"/>
      <name val="Aptos"/>
    </font>
    <font>
      <sz val="12"/>
      <color theme="1"/>
      <name val="Aptos"/>
    </font>
    <font>
      <sz val="12"/>
      <color rgb="FF000000"/>
      <name val="Aptos"/>
    </font>
    <font>
      <sz val="12"/>
      <color rgb="FF000000"/>
      <name val="Aptos Narrow"/>
      <family val="2"/>
      <scheme val="minor"/>
    </font>
    <font>
      <sz val="12"/>
      <color theme="1"/>
      <name val="Aptos"/>
      <charset val="1"/>
    </font>
  </fonts>
  <fills count="12">
    <fill>
      <patternFill patternType="none"/>
    </fill>
    <fill>
      <patternFill patternType="gray125"/>
    </fill>
    <fill>
      <patternFill patternType="solid">
        <fgColor rgb="FF43C0BE"/>
        <bgColor indexed="64"/>
      </patternFill>
    </fill>
    <fill>
      <patternFill patternType="solid">
        <fgColor rgb="FF007F7E"/>
        <bgColor indexed="64"/>
      </patternFill>
    </fill>
    <fill>
      <patternFill patternType="solid">
        <fgColor rgb="FFC6EFCE"/>
      </patternFill>
    </fill>
    <fill>
      <patternFill patternType="solid">
        <fgColor rgb="FF2C4C79"/>
        <bgColor indexed="64"/>
      </patternFill>
    </fill>
    <fill>
      <patternFill patternType="solid">
        <fgColor rgb="FFD6E8FA"/>
        <bgColor indexed="64"/>
      </patternFill>
    </fill>
    <fill>
      <patternFill patternType="solid">
        <fgColor rgb="FFA1DFDF"/>
        <bgColor indexed="64"/>
      </patternFill>
    </fill>
    <fill>
      <patternFill patternType="solid">
        <fgColor rgb="FFA3D8F2"/>
        <bgColor indexed="64"/>
      </patternFill>
    </fill>
    <fill>
      <patternFill patternType="solid">
        <fgColor rgb="FFFDD78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4BCEA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" fillId="7" borderId="20"/>
  </cellStyleXfs>
  <cellXfs count="117">
    <xf numFmtId="0" fontId="0" fillId="0" borderId="0" xfId="0"/>
    <xf numFmtId="0" fontId="0" fillId="0" borderId="0" xfId="0" applyProtection="1">
      <protection locked="0"/>
    </xf>
    <xf numFmtId="164" fontId="3" fillId="2" borderId="17" xfId="1" applyNumberFormat="1" applyFont="1" applyFill="1" applyBorder="1" applyProtection="1">
      <protection locked="0"/>
    </xf>
    <xf numFmtId="9" fontId="3" fillId="2" borderId="21" xfId="0" applyNumberFormat="1" applyFont="1" applyFill="1" applyBorder="1" applyProtection="1">
      <protection locked="0"/>
    </xf>
    <xf numFmtId="9" fontId="3" fillId="2" borderId="23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8" fillId="5" borderId="16" xfId="0" applyFont="1" applyFill="1" applyBorder="1"/>
    <xf numFmtId="0" fontId="8" fillId="5" borderId="14" xfId="0" applyFont="1" applyFill="1" applyBorder="1"/>
    <xf numFmtId="0" fontId="8" fillId="5" borderId="22" xfId="0" applyFont="1" applyFill="1" applyBorder="1"/>
    <xf numFmtId="0" fontId="8" fillId="5" borderId="24" xfId="0" applyFont="1" applyFill="1" applyBorder="1"/>
    <xf numFmtId="165" fontId="3" fillId="3" borderId="21" xfId="0" applyNumberFormat="1" applyFont="1" applyFill="1" applyBorder="1"/>
    <xf numFmtId="0" fontId="9" fillId="0" borderId="11" xfId="0" applyFont="1" applyBorder="1" applyAlignment="1">
      <alignment wrapText="1"/>
    </xf>
    <xf numFmtId="165" fontId="0" fillId="0" borderId="29" xfId="0" applyNumberFormat="1" applyBorder="1"/>
    <xf numFmtId="0" fontId="9" fillId="0" borderId="25" xfId="0" applyFont="1" applyBorder="1"/>
    <xf numFmtId="164" fontId="0" fillId="0" borderId="26" xfId="0" applyNumberFormat="1" applyBorder="1"/>
    <xf numFmtId="0" fontId="9" fillId="0" borderId="27" xfId="0" applyFont="1" applyBorder="1"/>
    <xf numFmtId="165" fontId="0" fillId="0" borderId="26" xfId="0" applyNumberFormat="1" applyBorder="1"/>
    <xf numFmtId="0" fontId="9" fillId="8" borderId="14" xfId="0" applyFont="1" applyFill="1" applyBorder="1"/>
    <xf numFmtId="166" fontId="5" fillId="8" borderId="21" xfId="0" applyNumberFormat="1" applyFont="1" applyFill="1" applyBorder="1"/>
    <xf numFmtId="165" fontId="1" fillId="0" borderId="29" xfId="0" applyNumberFormat="1" applyFont="1" applyBorder="1"/>
    <xf numFmtId="0" fontId="10" fillId="0" borderId="25" xfId="0" applyFont="1" applyBorder="1"/>
    <xf numFmtId="0" fontId="9" fillId="0" borderId="30" xfId="0" applyFont="1" applyBorder="1"/>
    <xf numFmtId="0" fontId="9" fillId="0" borderId="30" xfId="0" applyFont="1" applyBorder="1" applyAlignment="1">
      <alignment horizontal="center"/>
    </xf>
    <xf numFmtId="165" fontId="1" fillId="0" borderId="26" xfId="0" applyNumberFormat="1" applyFont="1" applyBorder="1"/>
    <xf numFmtId="167" fontId="0" fillId="0" borderId="26" xfId="0" applyNumberFormat="1" applyBorder="1"/>
    <xf numFmtId="165" fontId="0" fillId="0" borderId="28" xfId="0" applyNumberFormat="1" applyBorder="1"/>
    <xf numFmtId="166" fontId="5" fillId="8" borderId="10" xfId="0" applyNumberFormat="1" applyFont="1" applyFill="1" applyBorder="1"/>
    <xf numFmtId="9" fontId="2" fillId="6" borderId="9" xfId="2" applyFont="1" applyFill="1" applyBorder="1" applyProtection="1"/>
    <xf numFmtId="9" fontId="2" fillId="6" borderId="10" xfId="2" applyFont="1" applyFill="1" applyBorder="1" applyProtection="1"/>
    <xf numFmtId="9" fontId="2" fillId="6" borderId="1" xfId="0" applyNumberFormat="1" applyFont="1" applyFill="1" applyBorder="1"/>
    <xf numFmtId="164" fontId="0" fillId="9" borderId="11" xfId="1" applyNumberFormat="1" applyFont="1" applyFill="1" applyBorder="1" applyProtection="1"/>
    <xf numFmtId="164" fontId="0" fillId="0" borderId="11" xfId="1" applyNumberFormat="1" applyFont="1" applyBorder="1" applyProtection="1"/>
    <xf numFmtId="164" fontId="7" fillId="0" borderId="11" xfId="1" applyNumberFormat="1" applyFont="1" applyBorder="1" applyProtection="1"/>
    <xf numFmtId="164" fontId="3" fillId="3" borderId="11" xfId="1" applyNumberFormat="1" applyFont="1" applyFill="1" applyBorder="1" applyProtection="1"/>
    <xf numFmtId="164" fontId="0" fillId="0" borderId="18" xfId="1" applyNumberFormat="1" applyFont="1" applyBorder="1" applyProtection="1"/>
    <xf numFmtId="164" fontId="0" fillId="7" borderId="11" xfId="1" applyNumberFormat="1" applyFont="1" applyFill="1" applyBorder="1" applyProtection="1"/>
    <xf numFmtId="164" fontId="0" fillId="10" borderId="11" xfId="1" applyNumberFormat="1" applyFont="1" applyFill="1" applyBorder="1" applyProtection="1"/>
    <xf numFmtId="164" fontId="6" fillId="4" borderId="18" xfId="4" applyNumberFormat="1" applyBorder="1" applyProtection="1"/>
    <xf numFmtId="9" fontId="2" fillId="6" borderId="8" xfId="0" applyNumberFormat="1" applyFont="1" applyFill="1" applyBorder="1"/>
    <xf numFmtId="164" fontId="0" fillId="7" borderId="19" xfId="1" applyNumberFormat="1" applyFont="1" applyFill="1" applyBorder="1" applyProtection="1"/>
    <xf numFmtId="164" fontId="0" fillId="10" borderId="19" xfId="1" applyNumberFormat="1" applyFont="1" applyFill="1" applyBorder="1" applyProtection="1"/>
    <xf numFmtId="164" fontId="0" fillId="7" borderId="20" xfId="1" applyNumberFormat="1" applyFont="1" applyFill="1" applyBorder="1" applyProtection="1"/>
    <xf numFmtId="164" fontId="3" fillId="2" borderId="39" xfId="1" applyNumberFormat="1" applyFont="1" applyFill="1" applyBorder="1"/>
    <xf numFmtId="9" fontId="3" fillId="2" borderId="40" xfId="0" applyNumberFormat="1" applyFont="1" applyFill="1" applyBorder="1"/>
    <xf numFmtId="9" fontId="3" fillId="2" borderId="21" xfId="0" applyNumberFormat="1" applyFont="1" applyFill="1" applyBorder="1"/>
    <xf numFmtId="0" fontId="0" fillId="0" borderId="42" xfId="0" applyBorder="1" applyAlignment="1">
      <alignment wrapText="1"/>
    </xf>
    <xf numFmtId="165" fontId="0" fillId="0" borderId="43" xfId="0" applyNumberFormat="1" applyBorder="1"/>
    <xf numFmtId="0" fontId="0" fillId="0" borderId="11" xfId="0" applyBorder="1" applyAlignment="1">
      <alignment wrapText="1"/>
    </xf>
    <xf numFmtId="0" fontId="0" fillId="0" borderId="25" xfId="0" applyBorder="1"/>
    <xf numFmtId="164" fontId="0" fillId="0" borderId="26" xfId="0" applyNumberFormat="1" applyBorder="1" applyAlignment="1">
      <alignment horizontal="center"/>
    </xf>
    <xf numFmtId="0" fontId="0" fillId="0" borderId="27" xfId="0" applyBorder="1"/>
    <xf numFmtId="167" fontId="0" fillId="0" borderId="26" xfId="0" applyNumberFormat="1" applyBorder="1" applyAlignment="1">
      <alignment horizontal="center"/>
    </xf>
    <xf numFmtId="0" fontId="3" fillId="5" borderId="38" xfId="0" applyFont="1" applyFill="1" applyBorder="1"/>
    <xf numFmtId="0" fontId="3" fillId="5" borderId="14" xfId="0" applyFont="1" applyFill="1" applyBorder="1"/>
    <xf numFmtId="0" fontId="3" fillId="5" borderId="22" xfId="0" applyFont="1" applyFill="1" applyBorder="1"/>
    <xf numFmtId="0" fontId="0" fillId="11" borderId="14" xfId="0" applyFill="1" applyBorder="1"/>
    <xf numFmtId="0" fontId="0" fillId="11" borderId="22" xfId="0" applyFill="1" applyBorder="1" applyAlignment="1">
      <alignment wrapText="1"/>
    </xf>
    <xf numFmtId="164" fontId="0" fillId="0" borderId="47" xfId="0" applyNumberFormat="1" applyBorder="1"/>
    <xf numFmtId="167" fontId="0" fillId="0" borderId="28" xfId="0" applyNumberFormat="1" applyBorder="1"/>
    <xf numFmtId="166" fontId="5" fillId="11" borderId="40" xfId="0" applyNumberFormat="1" applyFont="1" applyFill="1" applyBorder="1"/>
    <xf numFmtId="166" fontId="5" fillId="11" borderId="41" xfId="0" applyNumberFormat="1" applyFont="1" applyFill="1" applyBorder="1"/>
    <xf numFmtId="9" fontId="5" fillId="11" borderId="21" xfId="0" applyNumberFormat="1" applyFont="1" applyFill="1" applyBorder="1"/>
    <xf numFmtId="9" fontId="3" fillId="2" borderId="21" xfId="0" applyNumberFormat="1" applyFont="1" applyFill="1" applyBorder="1" applyAlignment="1">
      <alignment horizontal="center"/>
    </xf>
    <xf numFmtId="9" fontId="3" fillId="2" borderId="20" xfId="0" applyNumberFormat="1" applyFont="1" applyFill="1" applyBorder="1"/>
    <xf numFmtId="0" fontId="12" fillId="0" borderId="0" xfId="0" applyFont="1" applyAlignment="1">
      <alignment readingOrder="1"/>
    </xf>
    <xf numFmtId="0" fontId="0" fillId="0" borderId="0" xfId="0" applyAlignment="1">
      <alignment wrapText="1"/>
    </xf>
    <xf numFmtId="0" fontId="11" fillId="0" borderId="35" xfId="0" applyFont="1" applyBorder="1" applyAlignment="1">
      <alignment horizontal="left" wrapText="1"/>
    </xf>
    <xf numFmtId="0" fontId="11" fillId="0" borderId="36" xfId="0" applyFont="1" applyBorder="1" applyAlignment="1">
      <alignment horizontal="left" wrapText="1"/>
    </xf>
    <xf numFmtId="0" fontId="11" fillId="0" borderId="37" xfId="0" applyFont="1" applyBorder="1" applyAlignment="1">
      <alignment horizontal="left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23" xfId="0" applyBorder="1" applyAlignment="1">
      <alignment horizontal="center"/>
    </xf>
    <xf numFmtId="0" fontId="0" fillId="0" borderId="51" xfId="0" applyBorder="1" applyAlignment="1" applyProtection="1">
      <alignment horizontal="center"/>
      <protection locked="0"/>
    </xf>
    <xf numFmtId="0" fontId="0" fillId="0" borderId="33" xfId="0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11" fillId="0" borderId="44" xfId="0" applyFont="1" applyBorder="1" applyAlignment="1">
      <alignment horizontal="left" wrapText="1"/>
    </xf>
    <xf numFmtId="0" fontId="11" fillId="0" borderId="45" xfId="0" applyFont="1" applyBorder="1" applyAlignment="1">
      <alignment horizontal="left" wrapText="1"/>
    </xf>
    <xf numFmtId="0" fontId="11" fillId="0" borderId="46" xfId="0" applyFont="1" applyBorder="1" applyAlignment="1">
      <alignment horizontal="left" wrapText="1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11" borderId="31" xfId="0" applyFill="1" applyBorder="1" applyAlignment="1">
      <alignment horizontal="left"/>
    </xf>
    <xf numFmtId="0" fontId="0" fillId="11" borderId="9" xfId="0" applyFill="1" applyBorder="1" applyAlignment="1">
      <alignment horizontal="left"/>
    </xf>
    <xf numFmtId="0" fontId="0" fillId="11" borderId="10" xfId="0" applyFill="1" applyBorder="1" applyAlignment="1">
      <alignment horizontal="left"/>
    </xf>
    <xf numFmtId="0" fontId="0" fillId="11" borderId="22" xfId="0" applyFill="1" applyBorder="1" applyAlignment="1">
      <alignment horizontal="left"/>
    </xf>
    <xf numFmtId="0" fontId="0" fillId="11" borderId="51" xfId="0" applyFill="1" applyBorder="1" applyAlignment="1">
      <alignment horizontal="left"/>
    </xf>
    <xf numFmtId="0" fontId="4" fillId="0" borderId="0" xfId="3" applyAlignment="1" applyProtection="1">
      <protection locked="0"/>
    </xf>
    <xf numFmtId="0" fontId="8" fillId="5" borderId="14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10" fillId="0" borderId="11" xfId="0" applyFont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0" fontId="9" fillId="0" borderId="32" xfId="0" applyFont="1" applyBorder="1" applyAlignment="1">
      <alignment horizontal="left" wrapText="1"/>
    </xf>
    <xf numFmtId="0" fontId="9" fillId="8" borderId="31" xfId="0" applyFont="1" applyFill="1" applyBorder="1" applyAlignment="1">
      <alignment horizontal="left"/>
    </xf>
    <xf numFmtId="0" fontId="9" fillId="8" borderId="9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 vertical="center" textRotation="90" wrapText="1"/>
    </xf>
    <xf numFmtId="0" fontId="8" fillId="5" borderId="7" xfId="0" applyFont="1" applyFill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left"/>
    </xf>
    <xf numFmtId="0" fontId="10" fillId="0" borderId="36" xfId="0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0" fillId="0" borderId="0" xfId="0" applyAlignment="1" applyProtection="1">
      <protection locked="0"/>
    </xf>
  </cellXfs>
  <cellStyles count="6">
    <cellStyle name="Currency" xfId="1" builtinId="4"/>
    <cellStyle name="Good" xfId="4" builtinId="26"/>
    <cellStyle name="Hyperlink" xfId="3" builtinId="8"/>
    <cellStyle name="Normal" xfId="0" builtinId="0"/>
    <cellStyle name="Percent" xfId="2" builtinId="5"/>
    <cellStyle name="TC light teal" xfId="5" xr:uid="{23190B6F-03BF-2B42-A8AC-35BCE565D268}"/>
  </cellStyles>
  <dxfs count="9">
    <dxf>
      <font>
        <color theme="0"/>
      </font>
      <fill>
        <patternFill patternType="solid">
          <bgColor rgb="FF43C0BE"/>
        </patternFill>
      </fill>
    </dxf>
    <dxf>
      <font>
        <color theme="1"/>
      </font>
      <numFmt numFmtId="169" formatCode="&quot;$&quot;#,##0.00"/>
      <fill>
        <patternFill>
          <bgColor rgb="FFBADCDC"/>
        </patternFill>
      </fill>
    </dxf>
    <dxf>
      <font>
        <color theme="1"/>
      </font>
      <numFmt numFmtId="169" formatCode="&quot;$&quot;#,##0.00"/>
      <fill>
        <patternFill>
          <bgColor rgb="FFF7CDAA"/>
        </patternFill>
      </fill>
    </dxf>
    <dxf>
      <font>
        <color theme="0"/>
      </font>
      <fill>
        <patternFill patternType="solid">
          <bgColor rgb="FF43C0BE"/>
        </patternFill>
      </fill>
    </dxf>
    <dxf>
      <font>
        <color theme="1"/>
      </font>
      <numFmt numFmtId="169" formatCode="&quot;$&quot;#,##0.00"/>
      <fill>
        <patternFill>
          <bgColor rgb="FFBADCDC"/>
        </patternFill>
      </fill>
    </dxf>
    <dxf>
      <font>
        <color theme="1"/>
      </font>
      <numFmt numFmtId="169" formatCode="&quot;$&quot;#,##0.00"/>
      <fill>
        <patternFill>
          <bgColor rgb="FFF7CDAA"/>
        </patternFill>
      </fill>
    </dxf>
    <dxf>
      <font>
        <color theme="0"/>
      </font>
      <fill>
        <patternFill patternType="solid">
          <bgColor rgb="FF43C0BE"/>
        </patternFill>
      </fill>
    </dxf>
    <dxf>
      <font>
        <color theme="1"/>
      </font>
      <numFmt numFmtId="169" formatCode="&quot;$&quot;#,##0.00"/>
      <fill>
        <patternFill>
          <bgColor rgb="FFBADCDC"/>
        </patternFill>
      </fill>
    </dxf>
    <dxf>
      <font>
        <color theme="1"/>
      </font>
      <numFmt numFmtId="169" formatCode="&quot;$&quot;#,##0.00"/>
      <fill>
        <patternFill>
          <bgColor rgb="FFF7CDAA"/>
        </patternFill>
      </fill>
    </dxf>
  </dxfs>
  <tableStyles count="0" defaultTableStyle="TableStyleMedium2" defaultPivotStyle="PivotStyleLight16"/>
  <colors>
    <mruColors>
      <color rgb="FF64BCEA"/>
      <color rgb="FF2C4C79"/>
      <color rgb="FF43C0BE"/>
      <color rgb="FFBADCDC"/>
      <color rgb="FFF7B833"/>
      <color rgb="FFF7CDAA"/>
      <color rgb="FF007F7E"/>
      <color rgb="FFFDD786"/>
      <color rgb="FFA1DFDF"/>
      <color rgb="FFA3D8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228600</xdr:colOff>
      <xdr:row>0</xdr:row>
      <xdr:rowOff>85725</xdr:rowOff>
    </xdr:from>
    <xdr:to>
      <xdr:col>7</xdr:col>
      <xdr:colOff>1133475</xdr:colOff>
      <xdr:row>5</xdr:row>
      <xdr:rowOff>142875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AC651B-2E3D-4FEF-9A76-59E607CC6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0" y="85725"/>
          <a:ext cx="2381250" cy="81915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2</xdr:row>
      <xdr:rowOff>57150</xdr:rowOff>
    </xdr:from>
    <xdr:to>
      <xdr:col>4</xdr:col>
      <xdr:colOff>276225</xdr:colOff>
      <xdr:row>3</xdr:row>
      <xdr:rowOff>171450</xdr:rowOff>
    </xdr:to>
    <xdr:sp macro="" textlink="">
      <xdr:nvSpPr>
        <xdr:cNvPr id="4" name="Curved Left Arrow 3">
          <a:extLst>
            <a:ext uri="{FF2B5EF4-FFF2-40B4-BE49-F238E27FC236}">
              <a16:creationId xmlns:a16="http://schemas.microsoft.com/office/drawing/2014/main" id="{0593E259-2103-CAC4-309A-4229DCBED81E}"/>
            </a:ext>
            <a:ext uri="{147F2762-F138-4A5C-976F-8EAC2B608ADB}">
              <a16:predDERef xmlns:a16="http://schemas.microsoft.com/office/drawing/2014/main" pred="{B3AC651B-2E3D-4FEF-9A76-59E607CC6F65}"/>
            </a:ext>
          </a:extLst>
        </xdr:cNvPr>
        <xdr:cNvSpPr/>
      </xdr:nvSpPr>
      <xdr:spPr>
        <a:xfrm>
          <a:off x="3352800" y="457200"/>
          <a:ext cx="314325" cy="314325"/>
        </a:xfrm>
        <a:prstGeom prst="curved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0</xdr:row>
      <xdr:rowOff>171450</xdr:rowOff>
    </xdr:from>
    <xdr:to>
      <xdr:col>7</xdr:col>
      <xdr:colOff>771525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35B1F1-9996-4605-9061-A17AE80D5B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3225" y="171450"/>
          <a:ext cx="2600325" cy="90487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51F8-93C2-491E-8E55-4CBBF246B80C}">
  <dimension ref="B1:I21"/>
  <sheetViews>
    <sheetView zoomScale="120" zoomScaleNormal="120" workbookViewId="0">
      <selection activeCell="C24" sqref="C24"/>
    </sheetView>
  </sheetViews>
  <sheetFormatPr defaultColWidth="11.25" defaultRowHeight="15.75"/>
  <cols>
    <col min="1" max="1" width="1.75" style="1" customWidth="1"/>
    <col min="2" max="2" width="23.875" style="1" customWidth="1"/>
    <col min="3" max="3" width="16.125" style="1" customWidth="1"/>
    <col min="4" max="4" width="2.75" style="1" customWidth="1"/>
    <col min="5" max="5" width="4.5" style="1" customWidth="1"/>
    <col min="6" max="6" width="7.25" style="1" customWidth="1"/>
    <col min="7" max="7" width="12.125" style="1" customWidth="1"/>
    <col min="8" max="8" width="15.75" style="1" customWidth="1"/>
    <col min="9" max="14" width="10.25" style="1" customWidth="1"/>
    <col min="15" max="15" width="7.75" style="1" customWidth="1"/>
    <col min="16" max="23" width="7.25" style="1" customWidth="1"/>
    <col min="24" max="16384" width="11.25" style="1"/>
  </cols>
  <sheetData>
    <row r="1" spans="2:9" ht="12.75" customHeight="1">
      <c r="B1" s="72"/>
      <c r="C1" s="72"/>
      <c r="D1" s="70"/>
      <c r="E1" s="70"/>
      <c r="F1" s="70"/>
      <c r="G1" s="70"/>
      <c r="H1" s="70"/>
    </row>
    <row r="2" spans="2:9">
      <c r="B2" s="74" t="s">
        <v>0</v>
      </c>
      <c r="C2" s="75"/>
      <c r="D2" s="70"/>
      <c r="E2" s="70"/>
      <c r="F2" s="70"/>
      <c r="G2" s="70"/>
      <c r="H2" s="70"/>
      <c r="I2"/>
    </row>
    <row r="3" spans="2:9">
      <c r="B3" s="52" t="s">
        <v>1</v>
      </c>
      <c r="C3" s="42">
        <v>35000</v>
      </c>
      <c r="D3" s="70"/>
      <c r="E3" s="70"/>
      <c r="F3" s="70"/>
      <c r="G3" s="70"/>
      <c r="H3" s="70"/>
      <c r="I3"/>
    </row>
    <row r="4" spans="2:9">
      <c r="B4" s="53" t="s">
        <v>2</v>
      </c>
      <c r="C4" s="62" t="s">
        <v>3</v>
      </c>
      <c r="D4" s="70"/>
      <c r="E4" s="70"/>
      <c r="F4" s="70"/>
      <c r="G4" s="70"/>
      <c r="H4" s="70"/>
      <c r="I4"/>
    </row>
    <row r="5" spans="2:9" ht="15.75" hidden="1" customHeight="1">
      <c r="B5" s="54" t="s">
        <v>4</v>
      </c>
      <c r="C5" s="63">
        <v>0.8</v>
      </c>
      <c r="D5" s="70"/>
      <c r="E5" s="70"/>
      <c r="F5" s="70"/>
      <c r="G5" s="70"/>
      <c r="H5" s="70"/>
      <c r="I5"/>
    </row>
    <row r="6" spans="2:9">
      <c r="B6" s="73"/>
      <c r="C6" s="73"/>
      <c r="D6" s="70"/>
      <c r="E6" s="70"/>
      <c r="F6" s="70"/>
      <c r="G6" s="70"/>
      <c r="H6" s="70"/>
      <c r="I6"/>
    </row>
    <row r="7" spans="2:9">
      <c r="B7" s="74" t="s">
        <v>5</v>
      </c>
      <c r="C7" s="75"/>
      <c r="D7" s="71"/>
      <c r="E7" s="76" t="s">
        <v>6</v>
      </c>
      <c r="F7" s="77"/>
      <c r="G7" s="77"/>
      <c r="H7" s="78"/>
      <c r="I7"/>
    </row>
    <row r="8" spans="2:9">
      <c r="B8" s="45" t="s">
        <v>7</v>
      </c>
      <c r="C8" s="46">
        <f>C3</f>
        <v>35000</v>
      </c>
      <c r="D8" s="71"/>
      <c r="E8" s="79" t="s">
        <v>7</v>
      </c>
      <c r="F8" s="80"/>
      <c r="G8" s="81"/>
      <c r="H8" s="19">
        <f>C3</f>
        <v>35000</v>
      </c>
      <c r="I8"/>
    </row>
    <row r="9" spans="2:9">
      <c r="B9" s="47" t="s">
        <v>8</v>
      </c>
      <c r="C9" s="12">
        <f>C8*-0.1</f>
        <v>-3500</v>
      </c>
      <c r="D9" s="71"/>
      <c r="E9" s="66" t="s">
        <v>9</v>
      </c>
      <c r="F9" s="67"/>
      <c r="G9" s="68"/>
      <c r="H9" s="23">
        <f>H8*-0.15</f>
        <v>-5250</v>
      </c>
      <c r="I9"/>
    </row>
    <row r="10" spans="2:9" ht="15.75" hidden="1" customHeight="1">
      <c r="B10" s="48" t="s">
        <v>10</v>
      </c>
      <c r="C10" s="14">
        <f>SUM(C8:C9)*C5</f>
        <v>25200</v>
      </c>
      <c r="D10" s="71"/>
      <c r="E10" s="82" t="s">
        <v>11</v>
      </c>
      <c r="F10" s="83"/>
      <c r="G10" s="84"/>
      <c r="H10" s="49">
        <v>0</v>
      </c>
      <c r="I10"/>
    </row>
    <row r="11" spans="2:9">
      <c r="B11" s="50" t="s">
        <v>12</v>
      </c>
      <c r="C11" s="14">
        <f>-(C10-(C10/1.1))</f>
        <v>-2290.9090909090919</v>
      </c>
      <c r="D11" s="71"/>
      <c r="E11" s="82" t="s">
        <v>12</v>
      </c>
      <c r="F11" s="83"/>
      <c r="G11" s="84"/>
      <c r="H11" s="51">
        <v>0</v>
      </c>
      <c r="I11"/>
    </row>
    <row r="12" spans="2:9">
      <c r="B12" s="50" t="s">
        <v>13</v>
      </c>
      <c r="C12" s="57">
        <f>IF(C4="Self Managed Plus", -((C10 + C11) - ((C10 + C11) / (1 + 20%))), IF(C4="Self Managed", 0, ""))</f>
        <v>-3818.1818181818162</v>
      </c>
      <c r="D12" s="71"/>
      <c r="E12" s="85" t="s">
        <v>14</v>
      </c>
      <c r="F12" s="86"/>
      <c r="G12" s="87"/>
      <c r="H12" s="58">
        <f>IF(C4="Self Managed Plus", H8*-0.11, IF(C4="Self Managed", 0, ""))</f>
        <v>-3850</v>
      </c>
      <c r="I12"/>
    </row>
    <row r="13" spans="2:9">
      <c r="B13" s="55" t="s">
        <v>15</v>
      </c>
      <c r="C13" s="59">
        <f>SUM(C8:C9,C11:C12)</f>
        <v>25390.909090909092</v>
      </c>
      <c r="D13" s="71"/>
      <c r="E13" s="88" t="s">
        <v>15</v>
      </c>
      <c r="F13" s="89"/>
      <c r="G13" s="90"/>
      <c r="H13" s="60">
        <f>SUM(H8:H12)</f>
        <v>25900</v>
      </c>
      <c r="I13"/>
    </row>
    <row r="14" spans="2:9">
      <c r="B14" s="56" t="s">
        <v>16</v>
      </c>
      <c r="C14" s="61">
        <f>C13/(C8)</f>
        <v>0.72545454545454546</v>
      </c>
      <c r="D14" s="71"/>
      <c r="E14" s="91" t="s">
        <v>16</v>
      </c>
      <c r="F14" s="92"/>
      <c r="G14" s="92"/>
      <c r="H14" s="61">
        <f>H13/H8</f>
        <v>0.74</v>
      </c>
      <c r="I14"/>
    </row>
    <row r="17" spans="2:8" ht="111.75" customHeight="1">
      <c r="B17" s="69" t="s">
        <v>17</v>
      </c>
      <c r="C17" s="69"/>
      <c r="D17" s="69"/>
      <c r="E17" s="69"/>
      <c r="F17" s="69"/>
      <c r="G17" s="69"/>
      <c r="H17" s="69"/>
    </row>
    <row r="20" spans="2:8">
      <c r="B20" s="64"/>
    </row>
    <row r="21" spans="2:8">
      <c r="B21" s="65"/>
    </row>
  </sheetData>
  <sheetProtection algorithmName="SHA-512" hashValue="QT5Q6jdOKNdxzlLy82FMZxmC38BmoGGKtzwiiM2vl1NSmfxoyWClF0q4n6sP+G9AX4M5C6qcafWGsbN/kNQqmQ==" saltValue="Nv74mzRPo3DEWBEfxTVI5A==" spinCount="100000" sheet="1" objects="1" scenarios="1"/>
  <protectedRanges>
    <protectedRange sqref="C3:C4" name="Range1"/>
  </protectedRanges>
  <mergeCells count="15">
    <mergeCell ref="E9:G9"/>
    <mergeCell ref="B17:H17"/>
    <mergeCell ref="D1:H6"/>
    <mergeCell ref="D7:D14"/>
    <mergeCell ref="B1:C1"/>
    <mergeCell ref="B6:C6"/>
    <mergeCell ref="B2:C2"/>
    <mergeCell ref="B7:C7"/>
    <mergeCell ref="E7:H7"/>
    <mergeCell ref="E8:G8"/>
    <mergeCell ref="E10:G10"/>
    <mergeCell ref="E11:G11"/>
    <mergeCell ref="E12:G12"/>
    <mergeCell ref="E13:G13"/>
    <mergeCell ref="E14:G14"/>
  </mergeCells>
  <dataValidations count="1">
    <dataValidation type="list" allowBlank="1" showInputMessage="1" showErrorMessage="1" sqref="C4" xr:uid="{A0213F4D-399F-4435-B801-7ADDABE0C4D8}">
      <formula1>"Self Managed, Self Managed Plus"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B34BD-2E5C-4029-BE59-554F8DC3FB44}">
  <dimension ref="B1:I14"/>
  <sheetViews>
    <sheetView tabSelected="1" zoomScale="120" zoomScaleNormal="120" workbookViewId="0">
      <selection activeCell="J15" sqref="J15"/>
    </sheetView>
  </sheetViews>
  <sheetFormatPr defaultColWidth="11.25" defaultRowHeight="15.75"/>
  <cols>
    <col min="1" max="1" width="1.75" style="1" customWidth="1"/>
    <col min="2" max="2" width="23.875" style="1" customWidth="1"/>
    <col min="3" max="3" width="11.5" style="1" bestFit="1" customWidth="1"/>
    <col min="4" max="4" width="2.75" style="1" customWidth="1"/>
    <col min="5" max="5" width="4.5" style="1" customWidth="1"/>
    <col min="6" max="6" width="7.25" style="1" customWidth="1"/>
    <col min="7" max="7" width="12.125" style="1" customWidth="1"/>
    <col min="8" max="14" width="10.25" style="1" customWidth="1"/>
    <col min="15" max="15" width="7.75" style="1" customWidth="1"/>
    <col min="16" max="23" width="7.25" style="1" customWidth="1"/>
    <col min="24" max="16384" width="11.25" style="1"/>
  </cols>
  <sheetData>
    <row r="1" spans="2:9">
      <c r="E1" s="70"/>
      <c r="F1" s="70"/>
      <c r="G1" s="70"/>
    </row>
    <row r="2" spans="2:9">
      <c r="B2" s="76" t="s">
        <v>0</v>
      </c>
      <c r="C2" s="78"/>
      <c r="D2"/>
      <c r="E2" s="70"/>
      <c r="F2" s="70"/>
      <c r="G2" s="70"/>
      <c r="H2"/>
      <c r="I2"/>
    </row>
    <row r="3" spans="2:9">
      <c r="B3" s="52" t="s">
        <v>1</v>
      </c>
      <c r="C3" s="42">
        <v>35000</v>
      </c>
      <c r="D3"/>
      <c r="E3" s="70"/>
      <c r="F3" s="70"/>
      <c r="G3" s="70"/>
      <c r="H3"/>
      <c r="I3"/>
    </row>
    <row r="4" spans="2:9">
      <c r="B4" s="53" t="s">
        <v>18</v>
      </c>
      <c r="C4" s="43">
        <v>0.2</v>
      </c>
      <c r="D4"/>
      <c r="E4" s="70"/>
      <c r="F4" s="70"/>
      <c r="G4" s="70"/>
      <c r="H4"/>
      <c r="I4"/>
    </row>
    <row r="5" spans="2:9">
      <c r="B5" s="54" t="s">
        <v>4</v>
      </c>
      <c r="C5" s="44">
        <v>0.8</v>
      </c>
      <c r="D5"/>
      <c r="E5" s="70"/>
      <c r="F5" s="70"/>
      <c r="G5" s="70"/>
      <c r="H5"/>
      <c r="I5"/>
    </row>
    <row r="6" spans="2:9">
      <c r="B6"/>
      <c r="C6"/>
      <c r="D6"/>
      <c r="E6" s="72"/>
      <c r="F6" s="72"/>
      <c r="G6" s="72"/>
      <c r="H6"/>
      <c r="I6"/>
    </row>
    <row r="7" spans="2:9">
      <c r="B7" s="74" t="s">
        <v>5</v>
      </c>
      <c r="C7" s="75"/>
      <c r="D7"/>
      <c r="E7" s="76" t="s">
        <v>6</v>
      </c>
      <c r="F7" s="77"/>
      <c r="G7" s="77"/>
      <c r="H7" s="78"/>
      <c r="I7"/>
    </row>
    <row r="8" spans="2:9">
      <c r="B8" s="45" t="s">
        <v>7</v>
      </c>
      <c r="C8" s="46">
        <f>C3</f>
        <v>35000</v>
      </c>
      <c r="D8"/>
      <c r="E8" s="79" t="s">
        <v>7</v>
      </c>
      <c r="F8" s="80"/>
      <c r="G8" s="81"/>
      <c r="H8" s="19">
        <f>C3</f>
        <v>35000</v>
      </c>
      <c r="I8"/>
    </row>
    <row r="9" spans="2:9">
      <c r="B9" s="47" t="s">
        <v>8</v>
      </c>
      <c r="C9" s="12">
        <f>C8*-0.1</f>
        <v>-3500</v>
      </c>
      <c r="D9"/>
      <c r="E9" s="66" t="s">
        <v>9</v>
      </c>
      <c r="F9" s="67"/>
      <c r="G9" s="68"/>
      <c r="H9" s="23">
        <f>H8*-0.15</f>
        <v>-5250</v>
      </c>
      <c r="I9"/>
    </row>
    <row r="10" spans="2:9" ht="15.75" hidden="1" customHeight="1">
      <c r="B10" s="48" t="s">
        <v>10</v>
      </c>
      <c r="C10" s="14">
        <f>SUM(C8:C9)*C5</f>
        <v>25200</v>
      </c>
      <c r="D10"/>
      <c r="E10" s="82" t="s">
        <v>11</v>
      </c>
      <c r="F10" s="83"/>
      <c r="G10" s="84"/>
      <c r="H10" s="49">
        <v>0</v>
      </c>
      <c r="I10"/>
    </row>
    <row r="11" spans="2:9">
      <c r="B11" s="50" t="s">
        <v>19</v>
      </c>
      <c r="C11" s="14">
        <f>-(C10-(C10/1.1))</f>
        <v>-2290.9090909090919</v>
      </c>
      <c r="D11"/>
      <c r="E11" s="82" t="s">
        <v>12</v>
      </c>
      <c r="F11" s="83"/>
      <c r="G11" s="84"/>
      <c r="H11" s="51">
        <v>0</v>
      </c>
      <c r="I11"/>
    </row>
    <row r="12" spans="2:9">
      <c r="B12" s="50" t="s">
        <v>20</v>
      </c>
      <c r="C12" s="57">
        <f xml:space="preserve"> -((C10 + C11) - ((C10 + C11) / (1 + C4)))</f>
        <v>-3818.1818181818162</v>
      </c>
      <c r="D12"/>
      <c r="E12" s="85" t="s">
        <v>14</v>
      </c>
      <c r="F12" s="86"/>
      <c r="G12" s="87"/>
      <c r="H12" s="58">
        <f>IF(C4=0, 0, H8*-0.11)</f>
        <v>-3850</v>
      </c>
      <c r="I12"/>
    </row>
    <row r="13" spans="2:9">
      <c r="B13" s="55" t="s">
        <v>15</v>
      </c>
      <c r="C13" s="59">
        <f>SUM(C8:C9,C11:C12)</f>
        <v>25390.909090909092</v>
      </c>
      <c r="D13"/>
      <c r="E13" s="88" t="s">
        <v>15</v>
      </c>
      <c r="F13" s="89"/>
      <c r="G13" s="90"/>
      <c r="H13" s="60">
        <f>SUM(H8:H12)</f>
        <v>25900</v>
      </c>
      <c r="I13"/>
    </row>
    <row r="14" spans="2:9">
      <c r="B14" s="56" t="s">
        <v>21</v>
      </c>
      <c r="C14" s="61">
        <f>C13/(C8)</f>
        <v>0.72545454545454546</v>
      </c>
      <c r="D14"/>
      <c r="E14" s="91" t="s">
        <v>21</v>
      </c>
      <c r="F14" s="92"/>
      <c r="G14" s="92"/>
      <c r="H14" s="61">
        <f>H13/H8</f>
        <v>0.74</v>
      </c>
      <c r="I14"/>
    </row>
  </sheetData>
  <sheetProtection algorithmName="SHA-512" hashValue="QT5Q6jdOKNdxzlLy82FMZxmC38BmoGGKtzwiiM2vl1NSmfxoyWClF0q4n6sP+G9AX4M5C6qcafWGsbN/kNQqmQ==" saltValue="Nv74mzRPo3DEWBEfxTVI5A==" spinCount="100000" sheet="1" objects="1" scenarios="1"/>
  <protectedRanges>
    <protectedRange sqref="C3:C5" name="Range1"/>
  </protectedRanges>
  <mergeCells count="11">
    <mergeCell ref="E7:H7"/>
    <mergeCell ref="E1:G6"/>
    <mergeCell ref="B2:C2"/>
    <mergeCell ref="B7:C7"/>
    <mergeCell ref="E14:G14"/>
    <mergeCell ref="E9:G9"/>
    <mergeCell ref="E10:G10"/>
    <mergeCell ref="E11:G11"/>
    <mergeCell ref="E12:G12"/>
    <mergeCell ref="E13:G13"/>
    <mergeCell ref="E8:G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6483B-63C1-4E97-B257-D625117BEFCA}">
  <dimension ref="B1:N18"/>
  <sheetViews>
    <sheetView zoomScale="120" zoomScaleNormal="120" workbookViewId="0">
      <selection activeCell="C3" sqref="C3"/>
    </sheetView>
  </sheetViews>
  <sheetFormatPr defaultColWidth="11.25" defaultRowHeight="15.75"/>
  <cols>
    <col min="1" max="1" width="1.75" style="1" customWidth="1"/>
    <col min="2" max="2" width="22.75" style="1" customWidth="1"/>
    <col min="3" max="3" width="15.375" style="1" customWidth="1"/>
    <col min="4" max="4" width="2.75" style="1" customWidth="1"/>
    <col min="5" max="5" width="4.5" style="1" customWidth="1"/>
    <col min="6" max="6" width="7.25" style="1" customWidth="1"/>
    <col min="7" max="14" width="12.5" style="1" customWidth="1"/>
    <col min="15" max="15" width="7.75" style="1" customWidth="1"/>
    <col min="16" max="23" width="7.25" style="1" customWidth="1"/>
    <col min="24" max="16384" width="11.25" style="1"/>
  </cols>
  <sheetData>
    <row r="1" spans="2:14" ht="15.4" customHeight="1"/>
    <row r="2" spans="2:14" ht="15.4" customHeight="1">
      <c r="B2" s="94" t="s">
        <v>22</v>
      </c>
      <c r="C2" s="96"/>
      <c r="E2" s="105" t="s">
        <v>23</v>
      </c>
      <c r="F2" s="106"/>
      <c r="G2" s="109" t="s">
        <v>4</v>
      </c>
      <c r="H2" s="109"/>
      <c r="I2" s="109"/>
      <c r="J2" s="109"/>
      <c r="K2" s="109"/>
      <c r="L2" s="109"/>
      <c r="M2" s="109"/>
      <c r="N2" s="110"/>
    </row>
    <row r="3" spans="2:14" ht="15.4" customHeight="1" thickBot="1">
      <c r="B3" s="6" t="s">
        <v>1</v>
      </c>
      <c r="C3" s="2">
        <v>35000</v>
      </c>
      <c r="E3" s="107"/>
      <c r="F3" s="108"/>
      <c r="G3" s="27">
        <v>0.65</v>
      </c>
      <c r="H3" s="27">
        <v>0.7</v>
      </c>
      <c r="I3" s="27">
        <v>0.75</v>
      </c>
      <c r="J3" s="27">
        <v>0.8</v>
      </c>
      <c r="K3" s="27">
        <v>0.85</v>
      </c>
      <c r="L3" s="27">
        <v>0.9</v>
      </c>
      <c r="M3" s="27">
        <v>0.95</v>
      </c>
      <c r="N3" s="28">
        <v>1</v>
      </c>
    </row>
    <row r="4" spans="2:14" ht="15.4" customHeight="1" thickBot="1">
      <c r="B4" s="7" t="s">
        <v>18</v>
      </c>
      <c r="C4" s="3">
        <v>0.2</v>
      </c>
      <c r="E4" s="111" t="s">
        <v>24</v>
      </c>
      <c r="F4" s="29">
        <v>0.2</v>
      </c>
      <c r="G4" s="30">
        <f t="shared" ref="G4:N6" si="0" xml:space="preserve"> ($C$3*0.9)*($F4/((1+$F4)*1.1))*G$3</f>
        <v>3102.2727272727275</v>
      </c>
      <c r="H4" s="31">
        <f t="shared" si="0"/>
        <v>3340.909090909091</v>
      </c>
      <c r="I4" s="32">
        <f t="shared" si="0"/>
        <v>3579.545454545455</v>
      </c>
      <c r="J4" s="33">
        <f t="shared" si="0"/>
        <v>3818.1818181818185</v>
      </c>
      <c r="K4" s="31">
        <f t="shared" si="0"/>
        <v>4056.818181818182</v>
      </c>
      <c r="L4" s="31">
        <f t="shared" si="0"/>
        <v>4295.454545454546</v>
      </c>
      <c r="M4" s="31">
        <f t="shared" si="0"/>
        <v>4534.090909090909</v>
      </c>
      <c r="N4" s="34">
        <f xml:space="preserve"> ($C$3*0.9)*($F4/((1+$F4)*1.1))*N$3</f>
        <v>4772.727272727273</v>
      </c>
    </row>
    <row r="5" spans="2:14" ht="15.4" customHeight="1" thickBot="1">
      <c r="B5" s="8" t="s">
        <v>4</v>
      </c>
      <c r="C5" s="4">
        <v>0.75</v>
      </c>
      <c r="E5" s="111"/>
      <c r="F5" s="29">
        <v>0.25</v>
      </c>
      <c r="G5" s="30">
        <f t="shared" si="0"/>
        <v>3722.7272727272725</v>
      </c>
      <c r="H5" s="35">
        <f t="shared" si="0"/>
        <v>4009.0909090909086</v>
      </c>
      <c r="I5" s="31">
        <f t="shared" si="0"/>
        <v>4295.454545454545</v>
      </c>
      <c r="J5" s="36">
        <f t="shared" si="0"/>
        <v>4581.818181818182</v>
      </c>
      <c r="K5" s="36">
        <f t="shared" si="0"/>
        <v>4868.181818181818</v>
      </c>
      <c r="L5" s="31">
        <f t="shared" si="0"/>
        <v>5154.545454545454</v>
      </c>
      <c r="M5" s="31">
        <f t="shared" si="0"/>
        <v>5440.9090909090901</v>
      </c>
      <c r="N5" s="37">
        <f t="shared" si="0"/>
        <v>5727.272727272727</v>
      </c>
    </row>
    <row r="6" spans="2:14" ht="15.4" customHeight="1" thickBot="1">
      <c r="B6" s="9" t="s">
        <v>25</v>
      </c>
      <c r="C6" s="10">
        <f>C3*0.11</f>
        <v>3850</v>
      </c>
      <c r="E6" s="112"/>
      <c r="F6" s="38">
        <v>0.3</v>
      </c>
      <c r="G6" s="39">
        <f t="shared" si="0"/>
        <v>4295.454545454545</v>
      </c>
      <c r="H6" s="39">
        <f t="shared" si="0"/>
        <v>4625.8741258741247</v>
      </c>
      <c r="I6" s="39">
        <f t="shared" si="0"/>
        <v>4956.2937062937053</v>
      </c>
      <c r="J6" s="40">
        <f t="shared" si="0"/>
        <v>5286.7132867132859</v>
      </c>
      <c r="K6" s="40">
        <f t="shared" si="0"/>
        <v>5617.1328671328665</v>
      </c>
      <c r="L6" s="39">
        <f t="shared" si="0"/>
        <v>5947.5524475524471</v>
      </c>
      <c r="M6" s="39">
        <f xml:space="preserve"> ($C$3*0.9)*($F6/((1+$F6)*1.1))*M$3</f>
        <v>6277.9720279720268</v>
      </c>
      <c r="N6" s="41">
        <f t="shared" si="0"/>
        <v>6608.3916083916074</v>
      </c>
    </row>
    <row r="7" spans="2:14" ht="15.4" customHeight="1" thickBot="1"/>
    <row r="8" spans="2:14" ht="16.5" thickBot="1">
      <c r="B8" s="94" t="s">
        <v>26</v>
      </c>
      <c r="C8" s="96"/>
      <c r="E8" s="94" t="s">
        <v>27</v>
      </c>
      <c r="F8" s="95"/>
      <c r="G8" s="95"/>
      <c r="H8" s="96"/>
      <c r="J8" s="103" t="e" vm="1">
        <v>#VALUE!</v>
      </c>
      <c r="K8" s="103"/>
      <c r="L8" s="103"/>
      <c r="M8" s="104" t="e" vm="2">
        <v>#VALUE!</v>
      </c>
      <c r="N8" s="104"/>
    </row>
    <row r="9" spans="2:14" ht="15.75" customHeight="1">
      <c r="B9" s="11" t="s">
        <v>1</v>
      </c>
      <c r="C9" s="12">
        <f>C3</f>
        <v>35000</v>
      </c>
      <c r="E9" s="97" t="s">
        <v>28</v>
      </c>
      <c r="F9" s="98"/>
      <c r="G9" s="98"/>
      <c r="H9" s="19">
        <f>C13</f>
        <v>17897.727272727272</v>
      </c>
      <c r="J9" s="103"/>
      <c r="K9" s="103"/>
      <c r="L9" s="103"/>
      <c r="M9" s="104"/>
      <c r="N9" s="104"/>
    </row>
    <row r="10" spans="2:14">
      <c r="B10" s="11" t="s">
        <v>29</v>
      </c>
      <c r="C10" s="12">
        <f>C9*0.9</f>
        <v>31500</v>
      </c>
      <c r="E10" s="20" t="s">
        <v>30</v>
      </c>
      <c r="F10" s="21"/>
      <c r="G10" s="22"/>
      <c r="H10" s="23">
        <f>H9*(1+C4)</f>
        <v>21477.272727272724</v>
      </c>
      <c r="J10" s="103"/>
      <c r="K10" s="103"/>
      <c r="L10" s="103"/>
      <c r="M10" s="104"/>
      <c r="N10" s="104"/>
    </row>
    <row r="11" spans="2:14">
      <c r="B11" s="13" t="s">
        <v>11</v>
      </c>
      <c r="C11" s="14">
        <f>C10*C5</f>
        <v>23625</v>
      </c>
      <c r="E11" s="13" t="s">
        <v>31</v>
      </c>
      <c r="F11" s="21"/>
      <c r="G11" s="22"/>
      <c r="H11" s="14">
        <f>H10*1.1</f>
        <v>23625</v>
      </c>
      <c r="J11" s="103"/>
      <c r="K11" s="103"/>
      <c r="L11" s="103"/>
      <c r="M11" s="104"/>
      <c r="N11" s="104"/>
    </row>
    <row r="12" spans="2:14">
      <c r="B12" s="15" t="s">
        <v>31</v>
      </c>
      <c r="C12" s="14">
        <f>C11/1.1</f>
        <v>21477.272727272724</v>
      </c>
      <c r="E12" s="13" t="s">
        <v>32</v>
      </c>
      <c r="F12" s="21"/>
      <c r="G12" s="22"/>
      <c r="H12" s="24">
        <f>(C3*0.9-H11)+H11</f>
        <v>31500</v>
      </c>
      <c r="J12" s="103"/>
      <c r="K12" s="103"/>
      <c r="L12" s="103"/>
      <c r="M12" s="104"/>
      <c r="N12" s="104"/>
    </row>
    <row r="13" spans="2:14" ht="15.75" customHeight="1" thickBot="1">
      <c r="B13" s="13" t="s">
        <v>30</v>
      </c>
      <c r="C13" s="16">
        <f xml:space="preserve"> C12 / (1 + C4)</f>
        <v>17897.727272727272</v>
      </c>
      <c r="E13" s="99" t="s">
        <v>29</v>
      </c>
      <c r="F13" s="100"/>
      <c r="G13" s="100"/>
      <c r="H13" s="25">
        <f>C3</f>
        <v>35000</v>
      </c>
      <c r="J13" s="103"/>
      <c r="K13" s="103"/>
      <c r="L13" s="103"/>
      <c r="M13" s="104"/>
      <c r="N13" s="104"/>
    </row>
    <row r="14" spans="2:14" ht="16.5" thickBot="1">
      <c r="B14" s="17" t="s">
        <v>33</v>
      </c>
      <c r="C14" s="18">
        <f>C13*C4</f>
        <v>3579.5454545454545</v>
      </c>
      <c r="E14" s="101" t="s">
        <v>33</v>
      </c>
      <c r="F14" s="102"/>
      <c r="G14" s="102"/>
      <c r="H14" s="26">
        <f>H9*C4</f>
        <v>3579.5454545454545</v>
      </c>
      <c r="J14" s="103"/>
      <c r="K14" s="103"/>
      <c r="L14" s="103"/>
      <c r="M14" s="104"/>
      <c r="N14" s="104"/>
    </row>
    <row r="15" spans="2:14">
      <c r="G15" s="5"/>
    </row>
    <row r="17" spans="2:2">
      <c r="B17" s="93"/>
    </row>
    <row r="18" spans="2:2">
      <c r="B18" s="116"/>
    </row>
  </sheetData>
  <sheetProtection algorithmName="SHA-512" hashValue="B1hau94J0kaKkYSAXEn4DsZuZvMViEAzyLImbxvsJ28TuLNJOuJnj3u+K1QOQDe6G4993GXqHs12B6NIMYxpcg==" saltValue="i0psXiG1IzO4bsy660rDng==" spinCount="100000" sheet="1" objects="1" scenarios="1"/>
  <mergeCells count="12">
    <mergeCell ref="J8:L14"/>
    <mergeCell ref="M8:N14"/>
    <mergeCell ref="B2:C2"/>
    <mergeCell ref="E2:F3"/>
    <mergeCell ref="G2:N2"/>
    <mergeCell ref="E4:E6"/>
    <mergeCell ref="B8:C8"/>
    <mergeCell ref="B17:B18"/>
    <mergeCell ref="E8:H8"/>
    <mergeCell ref="E9:G9"/>
    <mergeCell ref="E13:G13"/>
    <mergeCell ref="E14:G14"/>
  </mergeCells>
  <conditionalFormatting sqref="G4:N6">
    <cfRule type="cellIs" dxfId="8" priority="1" operator="lessThan">
      <formula>$C$6*0.99</formula>
    </cfRule>
    <cfRule type="cellIs" dxfId="7" priority="2" stopIfTrue="1" operator="greaterThan">
      <formula>$C$6</formula>
    </cfRule>
    <cfRule type="cellIs" dxfId="6" priority="3" stopIfTrue="1" operator="between">
      <formula>$C$6*0.99</formula>
      <formula>$C$6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BB6FB-5A68-45ED-A604-2430BD234A64}">
  <dimension ref="B1:N18"/>
  <sheetViews>
    <sheetView zoomScale="120" zoomScaleNormal="120" workbookViewId="0">
      <selection activeCell="G32" sqref="G32"/>
    </sheetView>
  </sheetViews>
  <sheetFormatPr defaultColWidth="11.25" defaultRowHeight="15.75"/>
  <cols>
    <col min="1" max="1" width="1.75" style="1" customWidth="1"/>
    <col min="2" max="2" width="22.75" style="1" customWidth="1"/>
    <col min="3" max="3" width="15" style="1" customWidth="1"/>
    <col min="4" max="4" width="2.75" style="1" customWidth="1"/>
    <col min="5" max="5" width="4.5" style="1" customWidth="1"/>
    <col min="6" max="6" width="6.125" style="1" customWidth="1"/>
    <col min="7" max="14" width="12.75" style="1" customWidth="1"/>
    <col min="15" max="15" width="7.75" style="1" customWidth="1"/>
    <col min="16" max="23" width="7.25" style="1" customWidth="1"/>
    <col min="24" max="16384" width="11.25" style="1"/>
  </cols>
  <sheetData>
    <row r="1" spans="2:14" ht="15.4" customHeight="1"/>
    <row r="2" spans="2:14" ht="15.4" customHeight="1">
      <c r="B2" s="94" t="s">
        <v>22</v>
      </c>
      <c r="C2" s="96"/>
      <c r="E2" s="105" t="s">
        <v>23</v>
      </c>
      <c r="F2" s="106"/>
      <c r="G2" s="109" t="s">
        <v>4</v>
      </c>
      <c r="H2" s="109"/>
      <c r="I2" s="109"/>
      <c r="J2" s="109"/>
      <c r="K2" s="109"/>
      <c r="L2" s="109"/>
      <c r="M2" s="109"/>
      <c r="N2" s="110"/>
    </row>
    <row r="3" spans="2:14" ht="15.4" customHeight="1">
      <c r="B3" s="6" t="s">
        <v>1</v>
      </c>
      <c r="C3" s="2">
        <v>35000</v>
      </c>
      <c r="E3" s="107"/>
      <c r="F3" s="108"/>
      <c r="G3" s="27">
        <v>0.65</v>
      </c>
      <c r="H3" s="27">
        <v>0.7</v>
      </c>
      <c r="I3" s="27">
        <v>0.75</v>
      </c>
      <c r="J3" s="27">
        <v>0.8</v>
      </c>
      <c r="K3" s="27">
        <v>0.85</v>
      </c>
      <c r="L3" s="27">
        <v>0.9</v>
      </c>
      <c r="M3" s="27">
        <v>0.95</v>
      </c>
      <c r="N3" s="28">
        <v>1</v>
      </c>
    </row>
    <row r="4" spans="2:14" ht="15.4" customHeight="1">
      <c r="B4" s="7" t="s">
        <v>18</v>
      </c>
      <c r="C4" s="3">
        <v>0.2</v>
      </c>
      <c r="E4" s="111" t="s">
        <v>24</v>
      </c>
      <c r="F4" s="29">
        <v>0.2</v>
      </c>
      <c r="G4" s="30">
        <f t="shared" ref="G4:N6" si="0" xml:space="preserve"> ($C$3*0.9)*($F4/((1+$F4)*1.1))*G$3</f>
        <v>3102.2727272727275</v>
      </c>
      <c r="H4" s="31">
        <f t="shared" si="0"/>
        <v>3340.909090909091</v>
      </c>
      <c r="I4" s="32">
        <f t="shared" si="0"/>
        <v>3579.545454545455</v>
      </c>
      <c r="J4" s="33">
        <f t="shared" si="0"/>
        <v>3818.1818181818185</v>
      </c>
      <c r="K4" s="31">
        <f t="shared" si="0"/>
        <v>4056.818181818182</v>
      </c>
      <c r="L4" s="31">
        <f t="shared" si="0"/>
        <v>4295.454545454546</v>
      </c>
      <c r="M4" s="31">
        <f t="shared" si="0"/>
        <v>4534.090909090909</v>
      </c>
      <c r="N4" s="34">
        <f xml:space="preserve"> ($C$3*0.9)*($F4/((1+$F4)*1.1))*N$3</f>
        <v>4772.727272727273</v>
      </c>
    </row>
    <row r="5" spans="2:14" ht="15.4" customHeight="1">
      <c r="B5" s="8" t="s">
        <v>4</v>
      </c>
      <c r="C5" s="4">
        <v>0.75</v>
      </c>
      <c r="E5" s="111"/>
      <c r="F5" s="29">
        <v>0.25</v>
      </c>
      <c r="G5" s="30">
        <f t="shared" si="0"/>
        <v>3722.7272727272725</v>
      </c>
      <c r="H5" s="35">
        <f t="shared" si="0"/>
        <v>4009.0909090909086</v>
      </c>
      <c r="I5" s="31">
        <f t="shared" si="0"/>
        <v>4295.454545454545</v>
      </c>
      <c r="J5" s="36">
        <f t="shared" si="0"/>
        <v>4581.818181818182</v>
      </c>
      <c r="K5" s="36">
        <f t="shared" si="0"/>
        <v>4868.181818181818</v>
      </c>
      <c r="L5" s="31">
        <f t="shared" si="0"/>
        <v>5154.545454545454</v>
      </c>
      <c r="M5" s="31">
        <f t="shared" si="0"/>
        <v>5440.9090909090901</v>
      </c>
      <c r="N5" s="37">
        <f t="shared" si="0"/>
        <v>5727.272727272727</v>
      </c>
    </row>
    <row r="6" spans="2:14" ht="15.4" customHeight="1">
      <c r="B6" s="9" t="s">
        <v>34</v>
      </c>
      <c r="C6" s="10">
        <f>C3*0.12</f>
        <v>4200</v>
      </c>
      <c r="E6" s="112"/>
      <c r="F6" s="38">
        <v>0.3</v>
      </c>
      <c r="G6" s="39">
        <f t="shared" si="0"/>
        <v>4295.454545454545</v>
      </c>
      <c r="H6" s="39">
        <f t="shared" si="0"/>
        <v>4625.8741258741247</v>
      </c>
      <c r="I6" s="39">
        <f t="shared" si="0"/>
        <v>4956.2937062937053</v>
      </c>
      <c r="J6" s="40">
        <f t="shared" si="0"/>
        <v>5286.7132867132859</v>
      </c>
      <c r="K6" s="40">
        <f t="shared" si="0"/>
        <v>5617.1328671328665</v>
      </c>
      <c r="L6" s="39">
        <f t="shared" si="0"/>
        <v>5947.5524475524471</v>
      </c>
      <c r="M6" s="39">
        <f xml:space="preserve"> ($C$3*0.9)*($F6/((1+$F6)*1.1))*M$3</f>
        <v>6277.9720279720268</v>
      </c>
      <c r="N6" s="41">
        <f t="shared" si="0"/>
        <v>6608.3916083916074</v>
      </c>
    </row>
    <row r="7" spans="2:14" ht="15.4" customHeight="1"/>
    <row r="8" spans="2:14">
      <c r="B8" s="94" t="s">
        <v>26</v>
      </c>
      <c r="C8" s="96"/>
      <c r="E8" s="94" t="s">
        <v>27</v>
      </c>
      <c r="F8" s="95"/>
      <c r="G8" s="95"/>
      <c r="H8" s="96"/>
      <c r="J8" s="103" t="e" vm="1">
        <v>#VALUE!</v>
      </c>
      <c r="K8" s="103"/>
      <c r="L8" s="103"/>
      <c r="M8" s="104" t="e" vm="2">
        <v>#VALUE!</v>
      </c>
      <c r="N8" s="104"/>
    </row>
    <row r="9" spans="2:14" ht="15.75" customHeight="1">
      <c r="B9" s="11" t="s">
        <v>1</v>
      </c>
      <c r="C9" s="12">
        <f>C3</f>
        <v>35000</v>
      </c>
      <c r="E9" s="97" t="s">
        <v>28</v>
      </c>
      <c r="F9" s="98"/>
      <c r="G9" s="98"/>
      <c r="H9" s="19">
        <f>C13</f>
        <v>17897.727272727272</v>
      </c>
      <c r="J9" s="103"/>
      <c r="K9" s="103"/>
      <c r="L9" s="103"/>
      <c r="M9" s="104"/>
      <c r="N9" s="104"/>
    </row>
    <row r="10" spans="2:14">
      <c r="B10" s="11" t="s">
        <v>29</v>
      </c>
      <c r="C10" s="12">
        <f>C9*0.9</f>
        <v>31500</v>
      </c>
      <c r="E10" s="113" t="s">
        <v>30</v>
      </c>
      <c r="F10" s="114"/>
      <c r="G10" s="115"/>
      <c r="H10" s="23">
        <f>H9*(1+C4)</f>
        <v>21477.272727272724</v>
      </c>
      <c r="J10" s="103"/>
      <c r="K10" s="103"/>
      <c r="L10" s="103"/>
      <c r="M10" s="104"/>
      <c r="N10" s="104"/>
    </row>
    <row r="11" spans="2:14">
      <c r="B11" s="13" t="s">
        <v>11</v>
      </c>
      <c r="C11" s="14">
        <f>C10*C5</f>
        <v>23625</v>
      </c>
      <c r="E11" s="13" t="s">
        <v>31</v>
      </c>
      <c r="F11" s="21"/>
      <c r="G11" s="22"/>
      <c r="H11" s="14">
        <f>H10*1.1</f>
        <v>23625</v>
      </c>
      <c r="J11" s="103"/>
      <c r="K11" s="103"/>
      <c r="L11" s="103"/>
      <c r="M11" s="104"/>
      <c r="N11" s="104"/>
    </row>
    <row r="12" spans="2:14">
      <c r="B12" s="15" t="s">
        <v>31</v>
      </c>
      <c r="C12" s="14">
        <f>C11/1.1</f>
        <v>21477.272727272724</v>
      </c>
      <c r="E12" s="13" t="s">
        <v>32</v>
      </c>
      <c r="F12" s="21"/>
      <c r="G12" s="22"/>
      <c r="H12" s="24">
        <f>(C3*0.9-H11)+H11</f>
        <v>31500</v>
      </c>
      <c r="J12" s="103"/>
      <c r="K12" s="103"/>
      <c r="L12" s="103"/>
      <c r="M12" s="104"/>
      <c r="N12" s="104"/>
    </row>
    <row r="13" spans="2:14" ht="15.75" customHeight="1">
      <c r="B13" s="13" t="s">
        <v>30</v>
      </c>
      <c r="C13" s="16">
        <f xml:space="preserve"> C12 / (1 + C4)</f>
        <v>17897.727272727272</v>
      </c>
      <c r="E13" s="99" t="s">
        <v>29</v>
      </c>
      <c r="F13" s="100"/>
      <c r="G13" s="100"/>
      <c r="H13" s="25">
        <f>C3</f>
        <v>35000</v>
      </c>
      <c r="J13" s="103"/>
      <c r="K13" s="103"/>
      <c r="L13" s="103"/>
      <c r="M13" s="104"/>
      <c r="N13" s="104"/>
    </row>
    <row r="14" spans="2:14">
      <c r="B14" s="17" t="s">
        <v>33</v>
      </c>
      <c r="C14" s="18">
        <f>C13*C4</f>
        <v>3579.5454545454545</v>
      </c>
      <c r="E14" s="101" t="s">
        <v>33</v>
      </c>
      <c r="F14" s="102"/>
      <c r="G14" s="102"/>
      <c r="H14" s="26">
        <f>H9*C4</f>
        <v>3579.5454545454545</v>
      </c>
      <c r="J14" s="103"/>
      <c r="K14" s="103"/>
      <c r="L14" s="103"/>
      <c r="M14" s="104"/>
      <c r="N14" s="104"/>
    </row>
    <row r="15" spans="2:14">
      <c r="G15" s="5"/>
    </row>
    <row r="17" spans="2:2">
      <c r="B17" s="93"/>
    </row>
    <row r="18" spans="2:2">
      <c r="B18" s="116"/>
    </row>
  </sheetData>
  <sheetProtection algorithmName="SHA-512" hashValue="IZWNxxlNst/LjKeApfjMRC62rkOtUDbkSAA1OM1K9X7Wfx2v+5wv0c3JcezlHBOFsaAdonlv3naJaT5IYAapTQ==" saltValue="fQKeak9vS+VH5hBeP7IO0Q==" spinCount="100000" sheet="1" objects="1" scenarios="1"/>
  <mergeCells count="13">
    <mergeCell ref="E14:G14"/>
    <mergeCell ref="B17:B18"/>
    <mergeCell ref="B2:C2"/>
    <mergeCell ref="E2:F3"/>
    <mergeCell ref="G2:N2"/>
    <mergeCell ref="E4:E6"/>
    <mergeCell ref="B8:C8"/>
    <mergeCell ref="E8:H8"/>
    <mergeCell ref="J8:L14"/>
    <mergeCell ref="M8:N14"/>
    <mergeCell ref="E9:G9"/>
    <mergeCell ref="E13:G13"/>
    <mergeCell ref="E10:G10"/>
  </mergeCells>
  <conditionalFormatting sqref="G4:N6">
    <cfRule type="cellIs" dxfId="5" priority="1" operator="lessThan">
      <formula>$C$6*0.99</formula>
    </cfRule>
    <cfRule type="cellIs" dxfId="4" priority="2" stopIfTrue="1" operator="greaterThan">
      <formula>$C$6</formula>
    </cfRule>
    <cfRule type="cellIs" dxfId="3" priority="3" stopIfTrue="1" operator="between">
      <formula>$C$6*0.99</formula>
      <formula>$C$6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869B3-54D5-40D6-8BD5-13378CAF39A2}">
  <dimension ref="B1:N18"/>
  <sheetViews>
    <sheetView workbookViewId="0">
      <selection activeCell="C12" sqref="C12"/>
    </sheetView>
  </sheetViews>
  <sheetFormatPr defaultColWidth="11.25" defaultRowHeight="15.75"/>
  <cols>
    <col min="1" max="1" width="1.75" style="1" customWidth="1"/>
    <col min="2" max="2" width="22.75" style="1" customWidth="1"/>
    <col min="3" max="3" width="15" style="1" customWidth="1"/>
    <col min="4" max="4" width="2.75" style="1" customWidth="1"/>
    <col min="5" max="5" width="4.5" style="1" customWidth="1"/>
    <col min="6" max="6" width="7.25" style="1" customWidth="1"/>
    <col min="7" max="14" width="13.5" style="1" customWidth="1"/>
    <col min="15" max="15" width="7.75" style="1" customWidth="1"/>
    <col min="16" max="23" width="7.25" style="1" customWidth="1"/>
    <col min="24" max="16384" width="11.25" style="1"/>
  </cols>
  <sheetData>
    <row r="1" spans="2:14" ht="15.4" customHeight="1" thickBot="1"/>
    <row r="2" spans="2:14" ht="15.4" customHeight="1" thickBot="1">
      <c r="B2" s="94" t="s">
        <v>22</v>
      </c>
      <c r="C2" s="96"/>
      <c r="E2" s="105" t="s">
        <v>23</v>
      </c>
      <c r="F2" s="106"/>
      <c r="G2" s="109" t="s">
        <v>4</v>
      </c>
      <c r="H2" s="109"/>
      <c r="I2" s="109"/>
      <c r="J2" s="109"/>
      <c r="K2" s="109"/>
      <c r="L2" s="109"/>
      <c r="M2" s="109"/>
      <c r="N2" s="110"/>
    </row>
    <row r="3" spans="2:14" ht="15.4" customHeight="1" thickBot="1">
      <c r="B3" s="6" t="s">
        <v>1</v>
      </c>
      <c r="C3" s="2">
        <v>35000</v>
      </c>
      <c r="E3" s="107"/>
      <c r="F3" s="108"/>
      <c r="G3" s="27">
        <v>0.65</v>
      </c>
      <c r="H3" s="27">
        <v>0.7</v>
      </c>
      <c r="I3" s="27">
        <v>0.75</v>
      </c>
      <c r="J3" s="27">
        <v>0.8</v>
      </c>
      <c r="K3" s="27">
        <v>0.85</v>
      </c>
      <c r="L3" s="27">
        <v>0.9</v>
      </c>
      <c r="M3" s="27">
        <v>0.95</v>
      </c>
      <c r="N3" s="28">
        <v>1</v>
      </c>
    </row>
    <row r="4" spans="2:14" ht="15.4" customHeight="1" thickBot="1">
      <c r="B4" s="7" t="s">
        <v>18</v>
      </c>
      <c r="C4" s="3">
        <v>0.2</v>
      </c>
      <c r="E4" s="111" t="s">
        <v>24</v>
      </c>
      <c r="F4" s="29">
        <v>0.2</v>
      </c>
      <c r="G4" s="30">
        <f t="shared" ref="G4:N6" si="0" xml:space="preserve"> ($C$3*0.9)*($F4/((1+$F4)*1.1))*G$3</f>
        <v>3102.2727272727275</v>
      </c>
      <c r="H4" s="31">
        <f t="shared" si="0"/>
        <v>3340.909090909091</v>
      </c>
      <c r="I4" s="32">
        <f t="shared" si="0"/>
        <v>3579.545454545455</v>
      </c>
      <c r="J4" s="33">
        <f t="shared" si="0"/>
        <v>3818.1818181818185</v>
      </c>
      <c r="K4" s="31">
        <f t="shared" si="0"/>
        <v>4056.818181818182</v>
      </c>
      <c r="L4" s="31">
        <f t="shared" si="0"/>
        <v>4295.454545454546</v>
      </c>
      <c r="M4" s="31">
        <f t="shared" si="0"/>
        <v>4534.090909090909</v>
      </c>
      <c r="N4" s="34">
        <f xml:space="preserve"> ($C$3*0.9)*($F4/((1+$F4)*1.1))*N$3</f>
        <v>4772.727272727273</v>
      </c>
    </row>
    <row r="5" spans="2:14" ht="15.4" customHeight="1" thickBot="1">
      <c r="B5" s="8" t="s">
        <v>4</v>
      </c>
      <c r="C5" s="4">
        <v>0.75</v>
      </c>
      <c r="E5" s="111"/>
      <c r="F5" s="29">
        <v>0.25</v>
      </c>
      <c r="G5" s="30">
        <f t="shared" si="0"/>
        <v>3722.7272727272725</v>
      </c>
      <c r="H5" s="35">
        <f t="shared" si="0"/>
        <v>4009.0909090909086</v>
      </c>
      <c r="I5" s="31">
        <f t="shared" si="0"/>
        <v>4295.454545454545</v>
      </c>
      <c r="J5" s="36">
        <f t="shared" si="0"/>
        <v>4581.818181818182</v>
      </c>
      <c r="K5" s="36">
        <f t="shared" si="0"/>
        <v>4868.181818181818</v>
      </c>
      <c r="L5" s="31">
        <f t="shared" si="0"/>
        <v>5154.545454545454</v>
      </c>
      <c r="M5" s="31">
        <f t="shared" si="0"/>
        <v>5440.9090909090901</v>
      </c>
      <c r="N5" s="37">
        <f t="shared" si="0"/>
        <v>5727.272727272727</v>
      </c>
    </row>
    <row r="6" spans="2:14" ht="15.4" customHeight="1" thickBot="1">
      <c r="B6" s="9" t="s">
        <v>35</v>
      </c>
      <c r="C6" s="10">
        <f>C3*0.13</f>
        <v>4550</v>
      </c>
      <c r="E6" s="112"/>
      <c r="F6" s="38">
        <v>0.3</v>
      </c>
      <c r="G6" s="39">
        <f t="shared" si="0"/>
        <v>4295.454545454545</v>
      </c>
      <c r="H6" s="39">
        <f t="shared" si="0"/>
        <v>4625.8741258741247</v>
      </c>
      <c r="I6" s="39">
        <f t="shared" si="0"/>
        <v>4956.2937062937053</v>
      </c>
      <c r="J6" s="40">
        <f t="shared" si="0"/>
        <v>5286.7132867132859</v>
      </c>
      <c r="K6" s="40">
        <f t="shared" si="0"/>
        <v>5617.1328671328665</v>
      </c>
      <c r="L6" s="39">
        <f t="shared" si="0"/>
        <v>5947.5524475524471</v>
      </c>
      <c r="M6" s="39">
        <f xml:space="preserve"> ($C$3*0.9)*($F6/((1+$F6)*1.1))*M$3</f>
        <v>6277.9720279720268</v>
      </c>
      <c r="N6" s="41">
        <f t="shared" si="0"/>
        <v>6608.3916083916074</v>
      </c>
    </row>
    <row r="7" spans="2:14" ht="15.4" customHeight="1" thickBot="1"/>
    <row r="8" spans="2:14" ht="16.5" thickBot="1">
      <c r="B8" s="94" t="s">
        <v>26</v>
      </c>
      <c r="C8" s="96"/>
      <c r="E8" s="94" t="s">
        <v>27</v>
      </c>
      <c r="F8" s="95"/>
      <c r="G8" s="95"/>
      <c r="H8" s="96"/>
      <c r="J8" s="103" t="e" vm="1">
        <v>#VALUE!</v>
      </c>
      <c r="K8" s="103"/>
      <c r="L8" s="103"/>
      <c r="M8" s="104" t="e" vm="2">
        <v>#VALUE!</v>
      </c>
      <c r="N8" s="104"/>
    </row>
    <row r="9" spans="2:14" ht="15.75" customHeight="1">
      <c r="B9" s="11" t="s">
        <v>1</v>
      </c>
      <c r="C9" s="12">
        <f>C3</f>
        <v>35000</v>
      </c>
      <c r="E9" s="97" t="s">
        <v>28</v>
      </c>
      <c r="F9" s="98"/>
      <c r="G9" s="98"/>
      <c r="H9" s="19">
        <f>C13</f>
        <v>17897.727272727272</v>
      </c>
      <c r="J9" s="103"/>
      <c r="K9" s="103"/>
      <c r="L9" s="103"/>
      <c r="M9" s="104"/>
      <c r="N9" s="104"/>
    </row>
    <row r="10" spans="2:14">
      <c r="B10" s="11" t="s">
        <v>29</v>
      </c>
      <c r="C10" s="12">
        <f>C9*0.9</f>
        <v>31500</v>
      </c>
      <c r="E10" s="20" t="s">
        <v>30</v>
      </c>
      <c r="F10" s="21"/>
      <c r="G10" s="22"/>
      <c r="H10" s="23">
        <f>H9*(1+C4)</f>
        <v>21477.272727272724</v>
      </c>
      <c r="J10" s="103"/>
      <c r="K10" s="103"/>
      <c r="L10" s="103"/>
      <c r="M10" s="104"/>
      <c r="N10" s="104"/>
    </row>
    <row r="11" spans="2:14">
      <c r="B11" s="13" t="s">
        <v>11</v>
      </c>
      <c r="C11" s="14">
        <f>C10*C5</f>
        <v>23625</v>
      </c>
      <c r="E11" s="13" t="s">
        <v>31</v>
      </c>
      <c r="F11" s="21"/>
      <c r="G11" s="22"/>
      <c r="H11" s="14">
        <f>H10*1.1</f>
        <v>23625</v>
      </c>
      <c r="J11" s="103"/>
      <c r="K11" s="103"/>
      <c r="L11" s="103"/>
      <c r="M11" s="104"/>
      <c r="N11" s="104"/>
    </row>
    <row r="12" spans="2:14">
      <c r="B12" s="15" t="s">
        <v>31</v>
      </c>
      <c r="C12" s="14">
        <f>C11/1.1</f>
        <v>21477.272727272724</v>
      </c>
      <c r="E12" s="13" t="s">
        <v>32</v>
      </c>
      <c r="F12" s="21"/>
      <c r="G12" s="22"/>
      <c r="H12" s="24">
        <f>(C3*0.9-H11)+H11</f>
        <v>31500</v>
      </c>
      <c r="J12" s="103"/>
      <c r="K12" s="103"/>
      <c r="L12" s="103"/>
      <c r="M12" s="104"/>
      <c r="N12" s="104"/>
    </row>
    <row r="13" spans="2:14" ht="15.75" customHeight="1" thickBot="1">
      <c r="B13" s="13" t="s">
        <v>30</v>
      </c>
      <c r="C13" s="16">
        <f xml:space="preserve"> C12 / (1 + C4)</f>
        <v>17897.727272727272</v>
      </c>
      <c r="E13" s="99" t="s">
        <v>29</v>
      </c>
      <c r="F13" s="100"/>
      <c r="G13" s="100"/>
      <c r="H13" s="25">
        <f>C3</f>
        <v>35000</v>
      </c>
      <c r="J13" s="103"/>
      <c r="K13" s="103"/>
      <c r="L13" s="103"/>
      <c r="M13" s="104"/>
      <c r="N13" s="104"/>
    </row>
    <row r="14" spans="2:14" ht="16.5" thickBot="1">
      <c r="B14" s="17" t="s">
        <v>33</v>
      </c>
      <c r="C14" s="18">
        <f>C13*C4</f>
        <v>3579.5454545454545</v>
      </c>
      <c r="E14" s="101" t="s">
        <v>33</v>
      </c>
      <c r="F14" s="102"/>
      <c r="G14" s="102"/>
      <c r="H14" s="26">
        <f>H9*C4</f>
        <v>3579.5454545454545</v>
      </c>
      <c r="J14" s="103"/>
      <c r="K14" s="103"/>
      <c r="L14" s="103"/>
      <c r="M14" s="104"/>
      <c r="N14" s="104"/>
    </row>
    <row r="15" spans="2:14">
      <c r="G15" s="5"/>
    </row>
    <row r="17" spans="2:2">
      <c r="B17" s="93"/>
    </row>
    <row r="18" spans="2:2">
      <c r="B18" s="116"/>
    </row>
  </sheetData>
  <sheetProtection algorithmName="SHA-512" hashValue="XxsOooXe5bJ9bbBfjVwGZIwT/UCZVaKJAj4Iodt7UOwFx8J4IGKouDMax4st+Hw1DPBqBbgBcKhgLmCTo57rIQ==" saltValue="9UwLeQMM9/I0TyYUSZKmvA==" spinCount="100000" sheet="1" objects="1" scenarios="1"/>
  <mergeCells count="12">
    <mergeCell ref="E14:G14"/>
    <mergeCell ref="B17:B18"/>
    <mergeCell ref="B2:C2"/>
    <mergeCell ref="E2:F3"/>
    <mergeCell ref="G2:N2"/>
    <mergeCell ref="E4:E6"/>
    <mergeCell ref="B8:C8"/>
    <mergeCell ref="E8:H8"/>
    <mergeCell ref="J8:L14"/>
    <mergeCell ref="M8:N14"/>
    <mergeCell ref="E9:G9"/>
    <mergeCell ref="E13:G13"/>
  </mergeCells>
  <conditionalFormatting sqref="G4:N6">
    <cfRule type="cellIs" dxfId="2" priority="1" operator="lessThan">
      <formula>$C$6*0.99</formula>
    </cfRule>
    <cfRule type="cellIs" dxfId="1" priority="2" stopIfTrue="1" operator="greaterThan">
      <formula>$C$6</formula>
    </cfRule>
    <cfRule type="cellIs" dxfId="0" priority="3" stopIfTrue="1" operator="between">
      <formula>$C$6*0.99</formula>
      <formula>$C$6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c4359b-79bf-4d50-9601-e6000e7dbb7e" xsi:nil="true"/>
    <Select xmlns="f3f8fb3c-f2e6-49a9-a709-ba5798a23189" xsi:nil="true"/>
    <lcf76f155ced4ddcb4097134ff3c332f xmlns="f3f8fb3c-f2e6-49a9-a709-ba5798a2318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33D4C1AB34BE4FB471F2492E4263F7" ma:contentTypeVersion="19" ma:contentTypeDescription="Create a new document." ma:contentTypeScope="" ma:versionID="6f19ade4c069589b3b63a6c29a98fbbc">
  <xsd:schema xmlns:xsd="http://www.w3.org/2001/XMLSchema" xmlns:xs="http://www.w3.org/2001/XMLSchema" xmlns:p="http://schemas.microsoft.com/office/2006/metadata/properties" xmlns:ns2="f3f8fb3c-f2e6-49a9-a709-ba5798a23189" xmlns:ns3="fac4359b-79bf-4d50-9601-e6000e7dbb7e" targetNamespace="http://schemas.microsoft.com/office/2006/metadata/properties" ma:root="true" ma:fieldsID="eb032e7cd87835e556738b14ecfbb9eb" ns2:_="" ns3:_="">
    <xsd:import namespace="f3f8fb3c-f2e6-49a9-a709-ba5798a23189"/>
    <xsd:import namespace="fac4359b-79bf-4d50-9601-e6000e7db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Select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8fb3c-f2e6-49a9-a709-ba5798a231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7082bf-6823-495b-91d7-8aae29cf6a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Select" ma:index="24" nillable="true" ma:displayName="Select" ma:format="Dropdown" ma:internalName="Select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4359b-79bf-4d50-9601-e6000e7db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7edb76d-6018-4b69-9259-bf972a912641}" ma:internalName="TaxCatchAll" ma:showField="CatchAllData" ma:web="fac4359b-79bf-4d50-9601-e6000e7db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423C7-077B-45FB-98B9-2FA5A8E05496}"/>
</file>

<file path=customXml/itemProps2.xml><?xml version="1.0" encoding="utf-8"?>
<ds:datastoreItem xmlns:ds="http://schemas.openxmlformats.org/officeDocument/2006/customXml" ds:itemID="{04436CA4-D04F-4E9A-9291-A4F22827C986}"/>
</file>

<file path=customXml/itemProps3.xml><?xml version="1.0" encoding="utf-8"?>
<ds:datastoreItem xmlns:ds="http://schemas.openxmlformats.org/officeDocument/2006/customXml" ds:itemID="{73352CEC-CFA1-42F6-9ADE-B1F5855580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Luke Traini</dc:creator>
  <cp:keywords/>
  <dc:description/>
  <cp:lastModifiedBy>Stephen Danckert</cp:lastModifiedBy>
  <cp:revision/>
  <dcterms:created xsi:type="dcterms:W3CDTF">2025-02-18T01:58:43Z</dcterms:created>
  <dcterms:modified xsi:type="dcterms:W3CDTF">2025-04-16T05:58:35Z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0x0101001C33D4C1AB34BE4FB471F2492E4263F7</vt:lpwstr>
  </property>
  <property fmtid="{D5CDD505-2E9C-101B-9397-08002B2CF9AE}" pid="3" name="MediaServiceImageTags">
    <vt:lpwstr/>
  </property>
</Properties>
</file>